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ate1904="1" codeName="ThisWorkbook"/>
  <mc:AlternateContent xmlns:mc="http://schemas.openxmlformats.org/markup-compatibility/2006">
    <mc:Choice Requires="x15">
      <x15ac:absPath xmlns:x15ac="http://schemas.microsoft.com/office/spreadsheetml/2010/11/ac" url="/Users/ashtonlewis/Desktop/000_AL_Official Tools/Brewing Calculators for Customers/"/>
    </mc:Choice>
  </mc:AlternateContent>
  <xr:revisionPtr revIDLastSave="0" documentId="13_ncr:1_{90BA6EDA-02CF-DE4A-BA2E-5F90E6E87E84}" xr6:coauthVersionLast="47" xr6:coauthVersionMax="47" xr10:uidLastSave="{00000000-0000-0000-0000-000000000000}"/>
  <bookViews>
    <workbookView xWindow="0" yWindow="500" windowWidth="33600" windowHeight="18960" tabRatio="941" xr2:uid="{00000000-000D-0000-FFFF-FFFF00000000}"/>
  </bookViews>
  <sheets>
    <sheet name="TNS Dry Hop Savings" sheetId="63"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7" i="63" l="1"/>
  <c r="F19" i="63"/>
  <c r="F8" i="63"/>
  <c r="K8" i="63" s="1"/>
  <c r="C32" i="63"/>
  <c r="C31" i="63"/>
  <c r="I6" i="63"/>
  <c r="J6" i="63"/>
  <c r="K4" i="63"/>
  <c r="J8" i="63"/>
  <c r="I8" i="63"/>
  <c r="F4" i="63"/>
  <c r="E13" i="63" s="1"/>
  <c r="F3" i="63"/>
  <c r="E7" i="63" s="1"/>
  <c r="F5" i="63"/>
  <c r="J3" i="63" s="1"/>
  <c r="D19" i="63" l="1"/>
  <c r="H12" i="63"/>
  <c r="D12" i="63"/>
  <c r="E12" i="63"/>
  <c r="E19" i="63"/>
  <c r="K3" i="63"/>
  <c r="I14" i="63"/>
  <c r="D14" i="63"/>
  <c r="E14" i="63"/>
  <c r="D13" i="63"/>
  <c r="D15" i="63"/>
  <c r="E15" i="63"/>
  <c r="I12" i="63"/>
  <c r="F20" i="63" l="1"/>
  <c r="D20" i="63"/>
  <c r="E18" i="63"/>
  <c r="H14" i="63"/>
  <c r="I15" i="63"/>
  <c r="F22" i="63" s="1"/>
  <c r="H13" i="63"/>
  <c r="I13" i="63"/>
  <c r="H15" i="63"/>
  <c r="D18" i="63" l="1"/>
  <c r="F18" i="63"/>
  <c r="D21" i="63"/>
  <c r="F21" i="63"/>
  <c r="D22" i="6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Ashton Lewis</author>
  </authors>
  <commentList>
    <comment ref="I4" authorId="0" shapeId="0" xr:uid="{B5105BEC-A3C1-D54C-97D8-377F1C2F9DAE}">
      <text>
        <r>
          <rPr>
            <sz val="12"/>
            <color rgb="FF000000"/>
            <rFont val="Montserrat Medium"/>
            <family val="2"/>
            <charset val="77"/>
          </rPr>
          <t xml:space="preserve">
</t>
        </r>
        <r>
          <rPr>
            <sz val="12"/>
            <color rgb="FF000000"/>
            <rFont val="Montserrat Medium"/>
            <family val="2"/>
            <charset val="77"/>
          </rPr>
          <t xml:space="preserve">Enter oil dosage rate here.  The suggested rates above are based on the replacement rate and dry hop dosing rate.  Select your preferred units from the dropdown menu to the right.
</t>
        </r>
        <r>
          <rPr>
            <sz val="12"/>
            <color rgb="FF000000"/>
            <rFont val="Montserrat Medium"/>
            <family val="2"/>
            <charset val="77"/>
          </rPr>
          <t xml:space="preserve">
</t>
        </r>
        <r>
          <rPr>
            <sz val="12"/>
            <color rgb="FF000000"/>
            <rFont val="Montserrat Medium"/>
            <family val="2"/>
            <charset val="77"/>
          </rPr>
          <t>If bench trials have not been performed, the suggested dosage rate is a great place to begin with your savings model.</t>
        </r>
      </text>
    </comment>
    <comment ref="D7" authorId="0" shapeId="0" xr:uid="{A04996A5-369F-AA40-B77D-62F15A712B91}">
      <text>
        <r>
          <rPr>
            <sz val="12"/>
            <color rgb="FF000000"/>
            <rFont val="Montserrat Medium"/>
            <family val="2"/>
            <charset val="77"/>
          </rPr>
          <t xml:space="preserve">
</t>
        </r>
        <r>
          <rPr>
            <sz val="12"/>
            <color rgb="FF000000"/>
            <rFont val="Montserrat Medium"/>
            <family val="2"/>
            <charset val="77"/>
          </rPr>
          <t xml:space="preserve">Enter typical beer loss associated with dry hopping.  If typical loss is unknown, the calculated minimum loss shown in the cell to the right is a very conservative value to use.
</t>
        </r>
        <r>
          <rPr>
            <sz val="12"/>
            <color rgb="FF000000"/>
            <rFont val="Montserrat Medium"/>
            <family val="2"/>
            <charset val="77"/>
          </rPr>
          <t xml:space="preserve">
</t>
        </r>
        <r>
          <rPr>
            <sz val="12"/>
            <color rgb="FF000000"/>
            <rFont val="Montserrat Medium"/>
            <family val="2"/>
            <charset val="77"/>
          </rPr>
          <t>Actual losses are typically greater than the estimate unless tank bottoms are filtered or centrifuged.</t>
        </r>
      </text>
    </comment>
  </commentList>
</comments>
</file>

<file path=xl/sharedStrings.xml><?xml version="1.0" encoding="utf-8"?>
<sst xmlns="http://schemas.openxmlformats.org/spreadsheetml/2006/main" count="48" uniqueCount="42">
  <si>
    <t>Dry Hop Rate</t>
  </si>
  <si>
    <t>BBL</t>
  </si>
  <si>
    <t>lb/BBL</t>
  </si>
  <si>
    <t>TNS SAVINGS CALCULATOR</t>
  </si>
  <si>
    <t>Fermenter Fill Volume</t>
  </si>
  <si>
    <t>BBL/year</t>
  </si>
  <si>
    <t>Annual Brand Volume</t>
  </si>
  <si>
    <t>Replacement Oil Rate (%)</t>
  </si>
  <si>
    <t>TNS Oil Price</t>
  </si>
  <si>
    <t>TNS Oil Usage Rate</t>
  </si>
  <si>
    <t>16-ounce Glass</t>
  </si>
  <si>
    <t>Typical Beer Loss w/ Pellet Dry Hopping</t>
  </si>
  <si>
    <t>Pellet Dry Hop Type and Price</t>
  </si>
  <si>
    <t>DRY HOPPING WITH HOP PELLETS</t>
  </si>
  <si>
    <t>DRY HOPPING WITH TNS HOP OILS + HOP PELLETS</t>
  </si>
  <si>
    <t>Value of Loss</t>
  </si>
  <si>
    <t>Typical Beer Loss w/ Oil + Pellet Hopping</t>
  </si>
  <si>
    <t>Note: This includes 2.5% beer loss with yeast</t>
  </si>
  <si>
    <t>mL/BBL</t>
  </si>
  <si>
    <t>Beer Loss (BBL)</t>
  </si>
  <si>
    <t>Beer Loss (hL)</t>
  </si>
  <si>
    <t>CALCULATED COSTS AND LOSSES</t>
  </si>
  <si>
    <t>Beer Loss Reduction</t>
  </si>
  <si>
    <t>Solid Waste Reduction</t>
  </si>
  <si>
    <t>Hop Spend Reduction</t>
  </si>
  <si>
    <t>TNS ANNUAL SAVINGS SUMMARY</t>
  </si>
  <si>
    <t>T90 Pellet</t>
  </si>
  <si>
    <t>Beer Sales Price (90% Draft Yield)</t>
  </si>
  <si>
    <t>8-ounce Glass</t>
  </si>
  <si>
    <t>12-ounce Glass</t>
  </si>
  <si>
    <t>0.3-liter Glass</t>
  </si>
  <si>
    <t>0.4-liter Glass</t>
  </si>
  <si>
    <t>0.5-liter Glass</t>
  </si>
  <si>
    <t>1/6 BBL Keg</t>
  </si>
  <si>
    <t>1/2 BBL Keg</t>
  </si>
  <si>
    <t>50 L Keg</t>
  </si>
  <si>
    <t>12-ounce x 24 Case</t>
  </si>
  <si>
    <t>16-ounce x 24 Case</t>
  </si>
  <si>
    <t>Hop Pellet Cost</t>
  </si>
  <si>
    <t>Hop Pellet + Oil Cost</t>
  </si>
  <si>
    <t>Beer Sales Increase</t>
  </si>
  <si>
    <t>Annual Net Savings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</si>
</sst>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8">
    <numFmt numFmtId="164" formatCode="0.0%"/>
    <numFmt numFmtId="165" formatCode="0.0"/>
    <numFmt numFmtId="166" formatCode="0\ &quot;gallons&quot;"/>
    <numFmt numFmtId="167" formatCode="0.00\ &quot;lb/BBL&quot;"/>
    <numFmt numFmtId="168" formatCode="0.00&quot; kg/hL&quot;"/>
    <numFmt numFmtId="169" formatCode="#,##0.0&quot; BBL&quot;"/>
    <numFmt numFmtId="170" formatCode="#,##0.0&quot; lb/BBL&quot;"/>
    <numFmt numFmtId="171" formatCode="&quot;$&quot;#,##0.00&quot;/lb&quot;"/>
    <numFmt numFmtId="172" formatCode="&quot;$&quot;#,##0.00&quot;/liter&quot;"/>
    <numFmt numFmtId="173" formatCode="&quot;Dose ~ &quot;0.0&quot; mL/BBL&quot;"/>
    <numFmt numFmtId="174" formatCode="&quot;Dose ~ &quot;0.0&quot; mL/hL&quot;"/>
    <numFmt numFmtId="175" formatCode="&quot;$&quot;0.00&quot;/BBL&quot;"/>
    <numFmt numFmtId="176" formatCode="#,##0&quot; BBL/year&quot;"/>
    <numFmt numFmtId="177" formatCode="&quot;$&quot;#,##0.00"/>
    <numFmt numFmtId="178" formatCode="&quot;$&quot;#,##0.00&quot; / Batch&quot;"/>
    <numFmt numFmtId="179" formatCode="&quot;$&quot;#,##0.00&quot; / Year&quot;"/>
    <numFmt numFmtId="180" formatCode="&quot;$&quot;#,##0&quot; / Batch&quot;"/>
    <numFmt numFmtId="181" formatCode="&quot;$&quot;#,##0&quot; / Year&quot;"/>
    <numFmt numFmtId="182" formatCode="#,##0.0&quot; mL/BBL&quot;"/>
    <numFmt numFmtId="183" formatCode="0.0&quot; BBL / Batch&quot;"/>
    <numFmt numFmtId="184" formatCode="0.0&quot; BBL / Year&quot;"/>
    <numFmt numFmtId="185" formatCode="0.0&quot; hL / Batch&quot;"/>
    <numFmt numFmtId="186" formatCode="0.0&quot; hL / Year&quot;"/>
    <numFmt numFmtId="188" formatCode="#,##0&quot; kg / Year&quot;"/>
    <numFmt numFmtId="189" formatCode="#,##0&quot; BBL / Year&quot;"/>
    <numFmt numFmtId="190" formatCode="#,##0&quot; lb / Year&quot;"/>
    <numFmt numFmtId="191" formatCode="#,##0&quot; hL / Year&quot;"/>
    <numFmt numFmtId="192" formatCode="&quot;Min. Loss ~ &quot;0.0%&quot; (includes 2.5% loss w/ yeast)&quot;"/>
  </numFmts>
  <fonts count="11" x14ac:knownFonts="1">
    <font>
      <sz val="10"/>
      <name val="Geneva"/>
    </font>
    <font>
      <sz val="10"/>
      <name val="Montserrat Medium"/>
    </font>
    <font>
      <sz val="10"/>
      <name val="Geneva"/>
      <family val="2"/>
    </font>
    <font>
      <b/>
      <sz val="16"/>
      <color theme="1"/>
      <name val="Montserrat Medium"/>
    </font>
    <font>
      <sz val="10"/>
      <color theme="1"/>
      <name val="Montserrat Medium"/>
    </font>
    <font>
      <sz val="10"/>
      <color theme="1"/>
      <name val="Geneva"/>
      <family val="2"/>
    </font>
    <font>
      <sz val="10"/>
      <color theme="1" tint="0.499984740745262"/>
      <name val="Montserrat Medium"/>
    </font>
    <font>
      <i/>
      <sz val="10"/>
      <name val="Geneva"/>
      <family val="2"/>
    </font>
    <font>
      <i/>
      <sz val="10"/>
      <color theme="1"/>
      <name val="Montserrat Medium"/>
    </font>
    <font>
      <b/>
      <sz val="12"/>
      <name val="Montserrat SemiBold"/>
    </font>
    <font>
      <sz val="12"/>
      <color rgb="FF000000"/>
      <name val="Montserrat Medium"/>
      <family val="2"/>
      <charset val="77"/>
    </font>
  </fonts>
  <fills count="9">
    <fill>
      <patternFill patternType="none"/>
    </fill>
    <fill>
      <patternFill patternType="gray125"/>
    </fill>
    <fill>
      <patternFill patternType="solid">
        <fgColor rgb="FF92D050"/>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FBF4EE"/>
        <bgColor indexed="64"/>
      </patternFill>
    </fill>
    <fill>
      <patternFill patternType="solid">
        <fgColor rgb="FFFFFD78"/>
        <bgColor indexed="64"/>
      </patternFill>
    </fill>
    <fill>
      <patternFill patternType="solid">
        <fgColor rgb="FFD5FC7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9" fontId="2" fillId="0" borderId="0" applyFont="0" applyFill="0" applyBorder="0" applyAlignment="0" applyProtection="0"/>
    <xf numFmtId="0" fontId="2" fillId="0" borderId="0"/>
  </cellStyleXfs>
  <cellXfs count="59">
    <xf numFmtId="0" fontId="0" fillId="0" borderId="0" xfId="0"/>
    <xf numFmtId="0" fontId="0" fillId="0" borderId="0" xfId="0" applyAlignment="1">
      <alignment vertical="center"/>
    </xf>
    <xf numFmtId="0" fontId="0" fillId="6" borderId="0" xfId="0" applyFill="1" applyAlignment="1">
      <alignment vertical="center"/>
    </xf>
    <xf numFmtId="165" fontId="4" fillId="7" borderId="1" xfId="0" applyNumberFormat="1" applyFont="1" applyFill="1" applyBorder="1" applyAlignment="1" applyProtection="1">
      <alignment horizontal="center" vertical="center"/>
      <protection locked="0"/>
    </xf>
    <xf numFmtId="164" fontId="4" fillId="7" borderId="1" xfId="1" applyNumberFormat="1" applyFont="1" applyFill="1" applyBorder="1" applyAlignment="1" applyProtection="1">
      <alignment horizontal="center" vertical="center"/>
      <protection locked="0"/>
    </xf>
    <xf numFmtId="166" fontId="1" fillId="7" borderId="1" xfId="0" applyNumberFormat="1" applyFont="1" applyFill="1" applyBorder="1" applyAlignment="1" applyProtection="1">
      <alignment horizontal="center" vertical="center"/>
      <protection locked="0"/>
    </xf>
    <xf numFmtId="167" fontId="4" fillId="7" borderId="1" xfId="0" applyNumberFormat="1" applyFont="1" applyFill="1" applyBorder="1" applyAlignment="1" applyProtection="1">
      <alignment horizontal="center" vertical="center"/>
      <protection locked="0"/>
    </xf>
    <xf numFmtId="3" fontId="4" fillId="7" borderId="1" xfId="0" applyNumberFormat="1" applyFont="1" applyFill="1" applyBorder="1" applyAlignment="1" applyProtection="1">
      <alignment horizontal="center" vertical="center"/>
      <protection locked="0"/>
    </xf>
    <xf numFmtId="0" fontId="2" fillId="6" borderId="0" xfId="0" applyFont="1" applyFill="1" applyAlignment="1">
      <alignment vertical="center"/>
    </xf>
    <xf numFmtId="171" fontId="4" fillId="7" borderId="7" xfId="0" applyNumberFormat="1" applyFont="1" applyFill="1" applyBorder="1" applyAlignment="1" applyProtection="1">
      <alignment horizontal="center" vertical="center"/>
      <protection locked="0"/>
    </xf>
    <xf numFmtId="176" fontId="6" fillId="3" borderId="1" xfId="0" applyNumberFormat="1" applyFont="1" applyFill="1" applyBorder="1" applyAlignment="1">
      <alignment horizontal="center" vertical="center"/>
    </xf>
    <xf numFmtId="170" fontId="6" fillId="3" borderId="1" xfId="0" applyNumberFormat="1" applyFont="1" applyFill="1" applyBorder="1" applyAlignment="1">
      <alignment horizontal="center" vertical="center"/>
    </xf>
    <xf numFmtId="177" fontId="4" fillId="7" borderId="1" xfId="0" applyNumberFormat="1" applyFont="1" applyFill="1" applyBorder="1" applyAlignment="1" applyProtection="1">
      <alignment horizontal="center" vertical="center"/>
      <protection locked="0"/>
    </xf>
    <xf numFmtId="165" fontId="4" fillId="7" borderId="6" xfId="0" applyNumberFormat="1" applyFont="1" applyFill="1" applyBorder="1" applyAlignment="1" applyProtection="1">
      <alignment horizontal="center" vertical="center"/>
      <protection locked="0"/>
    </xf>
    <xf numFmtId="166" fontId="1" fillId="7" borderId="6" xfId="0" applyNumberFormat="1" applyFont="1" applyFill="1" applyBorder="1" applyAlignment="1" applyProtection="1">
      <alignment horizontal="center" vertical="center"/>
      <protection locked="0"/>
    </xf>
    <xf numFmtId="169" fontId="6" fillId="3" borderId="6" xfId="0" applyNumberFormat="1" applyFont="1" applyFill="1" applyBorder="1" applyAlignment="1">
      <alignment horizontal="center" vertical="center"/>
    </xf>
    <xf numFmtId="9" fontId="4" fillId="7" borderId="6" xfId="0" applyNumberFormat="1" applyFont="1" applyFill="1" applyBorder="1" applyAlignment="1" applyProtection="1">
      <alignment horizontal="center" vertical="center"/>
      <protection locked="0"/>
    </xf>
    <xf numFmtId="0" fontId="0" fillId="6" borderId="5" xfId="0" applyFill="1" applyBorder="1" applyAlignment="1">
      <alignment vertical="center"/>
    </xf>
    <xf numFmtId="168" fontId="1" fillId="6" borderId="5" xfId="0" applyNumberFormat="1" applyFont="1" applyFill="1" applyBorder="1" applyAlignment="1">
      <alignment horizontal="center" vertical="center"/>
    </xf>
    <xf numFmtId="9" fontId="0" fillId="6" borderId="0" xfId="0" applyNumberFormat="1" applyFill="1" applyAlignment="1">
      <alignment vertical="center"/>
    </xf>
    <xf numFmtId="172" fontId="4" fillId="7" borderId="7" xfId="0" applyNumberFormat="1" applyFont="1" applyFill="1" applyBorder="1" applyAlignment="1" applyProtection="1">
      <alignment horizontal="center" vertical="center"/>
      <protection locked="0"/>
    </xf>
    <xf numFmtId="173" fontId="0" fillId="4" borderId="6" xfId="0" applyNumberFormat="1" applyFill="1" applyBorder="1" applyAlignment="1">
      <alignment horizontal="center" vertical="center"/>
    </xf>
    <xf numFmtId="174" fontId="0" fillId="4" borderId="6" xfId="0" applyNumberFormat="1" applyFill="1" applyBorder="1" applyAlignment="1">
      <alignment horizontal="center" vertical="center"/>
    </xf>
    <xf numFmtId="165" fontId="4" fillId="4" borderId="7" xfId="0" applyNumberFormat="1" applyFont="1" applyFill="1" applyBorder="1" applyAlignment="1">
      <alignment horizontal="center" vertical="center" wrapText="1"/>
    </xf>
    <xf numFmtId="164" fontId="2" fillId="4" borderId="1" xfId="1" applyNumberFormat="1" applyFont="1" applyFill="1" applyBorder="1" applyAlignment="1">
      <alignment horizontal="center" vertical="center"/>
    </xf>
    <xf numFmtId="177" fontId="2" fillId="4" borderId="1" xfId="0" applyNumberFormat="1" applyFont="1" applyFill="1" applyBorder="1" applyAlignment="1">
      <alignment horizontal="center" vertical="center"/>
    </xf>
    <xf numFmtId="0" fontId="2" fillId="4" borderId="1" xfId="0" applyFont="1" applyFill="1" applyBorder="1" applyAlignment="1">
      <alignment horizontal="center" vertical="center"/>
    </xf>
    <xf numFmtId="175" fontId="2" fillId="4" borderId="1" xfId="0" applyNumberFormat="1" applyFont="1" applyFill="1" applyBorder="1" applyAlignment="1">
      <alignment horizontal="center" vertical="center"/>
    </xf>
    <xf numFmtId="178" fontId="0" fillId="6" borderId="1" xfId="0" applyNumberFormat="1" applyFill="1" applyBorder="1" applyAlignment="1">
      <alignment horizontal="center" vertical="center"/>
    </xf>
    <xf numFmtId="179" fontId="0" fillId="6" borderId="1" xfId="0" applyNumberFormat="1" applyFill="1" applyBorder="1" applyAlignment="1">
      <alignment horizontal="center" vertical="center"/>
    </xf>
    <xf numFmtId="180" fontId="0" fillId="6" borderId="1" xfId="0" applyNumberFormat="1" applyFill="1" applyBorder="1" applyAlignment="1">
      <alignment horizontal="center" vertical="center"/>
    </xf>
    <xf numFmtId="181" fontId="0" fillId="6" borderId="1" xfId="0" applyNumberFormat="1" applyFill="1" applyBorder="1" applyAlignment="1">
      <alignment horizontal="center" vertical="center"/>
    </xf>
    <xf numFmtId="182" fontId="6" fillId="3" borderId="1" xfId="0" applyNumberFormat="1" applyFont="1" applyFill="1" applyBorder="1" applyAlignment="1">
      <alignment horizontal="center" vertical="center"/>
    </xf>
    <xf numFmtId="164" fontId="0" fillId="6" borderId="0" xfId="0" applyNumberFormat="1" applyFill="1" applyAlignment="1">
      <alignment vertical="center"/>
    </xf>
    <xf numFmtId="183" fontId="2" fillId="6" borderId="1" xfId="0" applyNumberFormat="1" applyFont="1" applyFill="1" applyBorder="1" applyAlignment="1">
      <alignment horizontal="center" vertical="center"/>
    </xf>
    <xf numFmtId="184" fontId="0" fillId="6" borderId="1" xfId="0" applyNumberFormat="1" applyFill="1" applyBorder="1" applyAlignment="1">
      <alignment horizontal="center" vertical="center"/>
    </xf>
    <xf numFmtId="185" fontId="2" fillId="6" borderId="1" xfId="0" applyNumberFormat="1" applyFont="1" applyFill="1" applyBorder="1" applyAlignment="1">
      <alignment horizontal="center" vertical="center"/>
    </xf>
    <xf numFmtId="186" fontId="0" fillId="6" borderId="1" xfId="0" applyNumberFormat="1" applyFill="1" applyBorder="1" applyAlignment="1">
      <alignment horizontal="center" vertical="center"/>
    </xf>
    <xf numFmtId="0" fontId="0" fillId="7" borderId="1" xfId="0" applyFill="1" applyBorder="1" applyAlignment="1" applyProtection="1">
      <alignment horizontal="center" vertical="center"/>
      <protection locked="0"/>
    </xf>
    <xf numFmtId="9" fontId="0" fillId="8" borderId="1" xfId="1" applyFont="1" applyFill="1" applyBorder="1" applyAlignment="1">
      <alignment horizontal="center" vertical="center"/>
    </xf>
    <xf numFmtId="175" fontId="5" fillId="4" borderId="1" xfId="0" applyNumberFormat="1" applyFont="1" applyFill="1" applyBorder="1" applyAlignment="1">
      <alignment horizontal="center" vertical="center"/>
    </xf>
    <xf numFmtId="188" fontId="0" fillId="8" borderId="1" xfId="0" applyNumberFormat="1" applyFill="1" applyBorder="1" applyAlignment="1">
      <alignment horizontal="center" vertical="center"/>
    </xf>
    <xf numFmtId="189" fontId="0" fillId="8" borderId="1" xfId="0" applyNumberFormat="1" applyFill="1" applyBorder="1" applyAlignment="1">
      <alignment horizontal="center" vertical="center"/>
    </xf>
    <xf numFmtId="190" fontId="0" fillId="8" borderId="1" xfId="0" applyNumberFormat="1" applyFill="1" applyBorder="1" applyAlignment="1">
      <alignment horizontal="center" vertical="center"/>
    </xf>
    <xf numFmtId="171" fontId="4" fillId="4" borderId="7" xfId="0" applyNumberFormat="1" applyFont="1" applyFill="1" applyBorder="1" applyAlignment="1">
      <alignment horizontal="center" vertical="center"/>
    </xf>
    <xf numFmtId="191" fontId="0" fillId="8" borderId="1" xfId="0" applyNumberFormat="1" applyFill="1" applyBorder="1" applyAlignment="1">
      <alignment horizontal="center" vertical="center"/>
    </xf>
    <xf numFmtId="177" fontId="0" fillId="6" borderId="0" xfId="0" applyNumberFormat="1" applyFill="1" applyAlignment="1">
      <alignment vertical="center"/>
    </xf>
    <xf numFmtId="0" fontId="3" fillId="5" borderId="1" xfId="0" applyFont="1" applyFill="1" applyBorder="1" applyAlignment="1">
      <alignment horizontal="center" vertical="center"/>
    </xf>
    <xf numFmtId="0" fontId="4" fillId="2" borderId="6" xfId="0" applyFont="1" applyFill="1" applyBorder="1" applyAlignment="1">
      <alignment horizontal="right" vertical="center" indent="1"/>
    </xf>
    <xf numFmtId="0" fontId="4" fillId="2" borderId="1" xfId="0" applyFont="1" applyFill="1" applyBorder="1" applyAlignment="1">
      <alignment horizontal="right" vertical="center" indent="1"/>
    </xf>
    <xf numFmtId="0" fontId="3" fillId="5" borderId="3"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2" xfId="0" applyFont="1" applyFill="1" applyBorder="1" applyAlignment="1">
      <alignment horizontal="center" vertical="center"/>
    </xf>
    <xf numFmtId="181" fontId="0" fillId="8" borderId="1" xfId="0" applyNumberFormat="1" applyFill="1" applyBorder="1" applyAlignment="1">
      <alignment horizontal="center" vertical="center"/>
    </xf>
    <xf numFmtId="0" fontId="4" fillId="2" borderId="3" xfId="0" applyFont="1" applyFill="1" applyBorder="1" applyAlignment="1">
      <alignment horizontal="right" vertical="center" indent="1"/>
    </xf>
    <xf numFmtId="0" fontId="4" fillId="2" borderId="2" xfId="0" applyFont="1" applyFill="1" applyBorder="1" applyAlignment="1">
      <alignment horizontal="right" vertical="center" indent="1"/>
    </xf>
    <xf numFmtId="0" fontId="7" fillId="3" borderId="1" xfId="0" applyFont="1" applyFill="1" applyBorder="1" applyAlignment="1">
      <alignment horizontal="center" vertical="center"/>
    </xf>
    <xf numFmtId="192" fontId="8" fillId="3" borderId="1" xfId="1" applyNumberFormat="1" applyFont="1" applyFill="1" applyBorder="1" applyAlignment="1">
      <alignment horizontal="left" vertical="center" indent="2"/>
    </xf>
    <xf numFmtId="0" fontId="9" fillId="5" borderId="1" xfId="0" applyFont="1" applyFill="1" applyBorder="1" applyAlignment="1">
      <alignment horizontal="center" vertical="center"/>
    </xf>
  </cellXfs>
  <cellStyles count="3">
    <cellStyle name="Normal" xfId="0" builtinId="0"/>
    <cellStyle name="Normal 2" xfId="2" xr:uid="{54C7BEBF-E5E9-6249-9440-49875D356969}"/>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D5FC79"/>
      <color rgb="FFFFFD78"/>
      <color rgb="FF93C4EA"/>
      <color rgb="FFFBF4EE"/>
      <color rgb="FFEBEBEB"/>
      <color rgb="FFFF9300"/>
      <color rgb="FF0432FF"/>
      <color rgb="FF00FA00"/>
      <color rgb="FFFFFDD5"/>
      <color rgb="FFF0E37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103909</xdr:colOff>
      <xdr:row>2</xdr:row>
      <xdr:rowOff>334818</xdr:rowOff>
    </xdr:from>
    <xdr:to>
      <xdr:col>10</xdr:col>
      <xdr:colOff>1350819</xdr:colOff>
      <xdr:row>2</xdr:row>
      <xdr:rowOff>334818</xdr:rowOff>
    </xdr:to>
    <xdr:cxnSp macro="">
      <xdr:nvCxnSpPr>
        <xdr:cNvPr id="5" name="Straight Connector 4">
          <a:extLst>
            <a:ext uri="{FF2B5EF4-FFF2-40B4-BE49-F238E27FC236}">
              <a16:creationId xmlns:a16="http://schemas.microsoft.com/office/drawing/2014/main" id="{D7E9771D-1419-C85F-EF6E-19BC368D80CE}"/>
            </a:ext>
          </a:extLst>
        </xdr:cNvPr>
        <xdr:cNvCxnSpPr/>
      </xdr:nvCxnSpPr>
      <xdr:spPr>
        <a:xfrm>
          <a:off x="13485091" y="1477818"/>
          <a:ext cx="2736273" cy="0"/>
        </a:xfrm>
        <a:prstGeom prst="line">
          <a:avLst/>
        </a:prstGeom>
        <a:ln>
          <a:solidFill>
            <a:srgbClr val="C0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9</xdr:col>
      <xdr:colOff>334818</xdr:colOff>
      <xdr:row>2</xdr:row>
      <xdr:rowOff>346364</xdr:rowOff>
    </xdr:from>
    <xdr:to>
      <xdr:col>9</xdr:col>
      <xdr:colOff>334818</xdr:colOff>
      <xdr:row>3</xdr:row>
      <xdr:rowOff>219364</xdr:rowOff>
    </xdr:to>
    <xdr:cxnSp macro="">
      <xdr:nvCxnSpPr>
        <xdr:cNvPr id="8" name="Straight Connector 7">
          <a:extLst>
            <a:ext uri="{FF2B5EF4-FFF2-40B4-BE49-F238E27FC236}">
              <a16:creationId xmlns:a16="http://schemas.microsoft.com/office/drawing/2014/main" id="{5C6EDD44-B3EB-BBEB-6D90-16FEEAE95ABF}"/>
            </a:ext>
          </a:extLst>
        </xdr:cNvPr>
        <xdr:cNvCxnSpPr/>
      </xdr:nvCxnSpPr>
      <xdr:spPr>
        <a:xfrm>
          <a:off x="13716000" y="1489364"/>
          <a:ext cx="0" cy="254000"/>
        </a:xfrm>
        <a:prstGeom prst="line">
          <a:avLst/>
        </a:prstGeom>
        <a:ln>
          <a:solidFill>
            <a:srgbClr val="C0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8</xdr:col>
      <xdr:colOff>1154545</xdr:colOff>
      <xdr:row>3</xdr:row>
      <xdr:rowOff>57723</xdr:rowOff>
    </xdr:from>
    <xdr:to>
      <xdr:col>9</xdr:col>
      <xdr:colOff>92363</xdr:colOff>
      <xdr:row>3</xdr:row>
      <xdr:rowOff>346359</xdr:rowOff>
    </xdr:to>
    <xdr:sp macro="" textlink="">
      <xdr:nvSpPr>
        <xdr:cNvPr id="9" name="Right Arrow 8">
          <a:extLst>
            <a:ext uri="{FF2B5EF4-FFF2-40B4-BE49-F238E27FC236}">
              <a16:creationId xmlns:a16="http://schemas.microsoft.com/office/drawing/2014/main" id="{047D6A8A-32FF-1A49-210A-D3C8BAB7A11D}"/>
            </a:ext>
          </a:extLst>
        </xdr:cNvPr>
        <xdr:cNvSpPr/>
      </xdr:nvSpPr>
      <xdr:spPr>
        <a:xfrm rot="10800000">
          <a:off x="13046363" y="1581723"/>
          <a:ext cx="427182" cy="288636"/>
        </a:xfrm>
        <a:prstGeom prst="rightArrow">
          <a:avLst/>
        </a:prstGeom>
        <a:gradFill flip="none" rotWithShape="1">
          <a:gsLst>
            <a:gs pos="0">
              <a:schemeClr val="accent1">
                <a:lumMod val="5000"/>
                <a:lumOff val="95000"/>
              </a:schemeClr>
            </a:gs>
            <a:gs pos="74000">
              <a:srgbClr val="C00000"/>
            </a:gs>
            <a:gs pos="83000">
              <a:schemeClr val="accent2">
                <a:lumMod val="75000"/>
              </a:schemeClr>
            </a:gs>
            <a:gs pos="100000">
              <a:schemeClr val="accent2">
                <a:lumMod val="75000"/>
              </a:schemeClr>
            </a:gs>
          </a:gsLst>
          <a:lin ang="0" scaled="1"/>
          <a:tileRect/>
        </a:gradFill>
        <a:ln>
          <a:solidFill>
            <a:schemeClr val="accent2">
              <a:lumMod val="75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twoCellAnchor>
    <xdr:from>
      <xdr:col>9</xdr:col>
      <xdr:colOff>92363</xdr:colOff>
      <xdr:row>3</xdr:row>
      <xdr:rowOff>207819</xdr:rowOff>
    </xdr:from>
    <xdr:to>
      <xdr:col>9</xdr:col>
      <xdr:colOff>334818</xdr:colOff>
      <xdr:row>3</xdr:row>
      <xdr:rowOff>207819</xdr:rowOff>
    </xdr:to>
    <xdr:cxnSp macro="">
      <xdr:nvCxnSpPr>
        <xdr:cNvPr id="21" name="Straight Connector 20">
          <a:extLst>
            <a:ext uri="{FF2B5EF4-FFF2-40B4-BE49-F238E27FC236}">
              <a16:creationId xmlns:a16="http://schemas.microsoft.com/office/drawing/2014/main" id="{BB6BCAE0-B3E5-D447-70C3-DA369E93C0D1}"/>
            </a:ext>
          </a:extLst>
        </xdr:cNvPr>
        <xdr:cNvCxnSpPr/>
      </xdr:nvCxnSpPr>
      <xdr:spPr>
        <a:xfrm>
          <a:off x="13473545" y="1731819"/>
          <a:ext cx="242455" cy="0"/>
        </a:xfrm>
        <a:prstGeom prst="line">
          <a:avLst/>
        </a:prstGeom>
        <a:ln>
          <a:solidFill>
            <a:srgbClr val="C00000"/>
          </a:solidFill>
        </a:ln>
      </xdr:spPr>
      <xdr:style>
        <a:lnRef idx="2">
          <a:schemeClr val="accent1"/>
        </a:lnRef>
        <a:fillRef idx="0">
          <a:schemeClr val="accent1"/>
        </a:fillRef>
        <a:effectRef idx="1">
          <a:schemeClr val="accent1"/>
        </a:effectRef>
        <a:fontRef idx="minor">
          <a:schemeClr val="tx1"/>
        </a:fontRef>
      </xdr:style>
    </xdr:cxnSp>
    <xdr:clientData/>
  </xdr:twoCellAnchor>
  <xdr:twoCellAnchor>
    <xdr:from>
      <xdr:col>3</xdr:col>
      <xdr:colOff>1179949</xdr:colOff>
      <xdr:row>6</xdr:row>
      <xdr:rowOff>48487</xdr:rowOff>
    </xdr:from>
    <xdr:to>
      <xdr:col>4</xdr:col>
      <xdr:colOff>117767</xdr:colOff>
      <xdr:row>6</xdr:row>
      <xdr:rowOff>337123</xdr:rowOff>
    </xdr:to>
    <xdr:sp macro="" textlink="">
      <xdr:nvSpPr>
        <xdr:cNvPr id="23" name="Right Arrow 22">
          <a:extLst>
            <a:ext uri="{FF2B5EF4-FFF2-40B4-BE49-F238E27FC236}">
              <a16:creationId xmlns:a16="http://schemas.microsoft.com/office/drawing/2014/main" id="{201B1BB7-0DAA-C243-A0BD-FB6D9A94C3FA}"/>
            </a:ext>
          </a:extLst>
        </xdr:cNvPr>
        <xdr:cNvSpPr/>
      </xdr:nvSpPr>
      <xdr:spPr>
        <a:xfrm rot="10800000">
          <a:off x="5624949" y="2715487"/>
          <a:ext cx="427182" cy="288636"/>
        </a:xfrm>
        <a:prstGeom prst="rightArrow">
          <a:avLst/>
        </a:prstGeom>
        <a:gradFill flip="none" rotWithShape="1">
          <a:gsLst>
            <a:gs pos="0">
              <a:schemeClr val="accent1">
                <a:lumMod val="5000"/>
                <a:lumOff val="95000"/>
              </a:schemeClr>
            </a:gs>
            <a:gs pos="74000">
              <a:srgbClr val="C00000"/>
            </a:gs>
            <a:gs pos="83000">
              <a:schemeClr val="accent2">
                <a:lumMod val="75000"/>
              </a:schemeClr>
            </a:gs>
            <a:gs pos="100000">
              <a:schemeClr val="accent2">
                <a:lumMod val="75000"/>
              </a:schemeClr>
            </a:gs>
          </a:gsLst>
          <a:lin ang="0" scaled="1"/>
          <a:tileRect/>
        </a:gradFill>
        <a:ln>
          <a:solidFill>
            <a:schemeClr val="accent2">
              <a:lumMod val="75000"/>
            </a:schemeClr>
          </a:solidFill>
        </a:ln>
      </xdr:spPr>
      <xdr:style>
        <a:lnRef idx="1">
          <a:schemeClr val="accent1"/>
        </a:lnRef>
        <a:fillRef idx="3">
          <a:schemeClr val="accent1"/>
        </a:fillRef>
        <a:effectRef idx="2">
          <a:schemeClr val="accent1"/>
        </a:effectRef>
        <a:fontRef idx="minor">
          <a:schemeClr val="lt1"/>
        </a:fontRef>
      </xdr:style>
      <xdr:txBody>
        <a:bodyPr rtlCol="0" anchor="ctr"/>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F1350A-E67A-8743-BB62-23096A441A62}">
  <dimension ref="A1:CH224"/>
  <sheetViews>
    <sheetView tabSelected="1" zoomScaleNormal="100" workbookViewId="0">
      <selection activeCell="D3" sqref="D3"/>
    </sheetView>
  </sheetViews>
  <sheetFormatPr baseColWidth="10" defaultColWidth="16.42578125" defaultRowHeight="30" customHeight="1" x14ac:dyDescent="0.2"/>
  <cols>
    <col min="1" max="1" width="7.5703125" style="2" customWidth="1"/>
    <col min="2" max="4" width="18.140625" style="1" customWidth="1"/>
    <col min="5" max="5" width="19.28515625" style="1" customWidth="1"/>
    <col min="6" max="11" width="18.140625" style="1" customWidth="1"/>
    <col min="12" max="13" width="16.42578125" style="1"/>
    <col min="14" max="14" width="3.5703125" style="2" customWidth="1"/>
    <col min="15" max="86" width="16.42578125" style="2"/>
    <col min="87" max="16384" width="16.42578125" style="1"/>
  </cols>
  <sheetData>
    <row r="1" spans="2:13" s="2" customFormat="1" ht="30" customHeight="1" x14ac:dyDescent="0.2"/>
    <row r="2" spans="2:13" ht="30" customHeight="1" x14ac:dyDescent="0.2">
      <c r="B2" s="47" t="s">
        <v>3</v>
      </c>
      <c r="C2" s="47"/>
      <c r="D2" s="47"/>
      <c r="E2" s="47"/>
      <c r="F2" s="47"/>
      <c r="G2" s="47"/>
      <c r="H2" s="47"/>
      <c r="I2" s="47"/>
      <c r="J2" s="47"/>
      <c r="K2" s="47"/>
      <c r="L2" s="2"/>
      <c r="M2" s="2"/>
    </row>
    <row r="3" spans="2:13" s="2" customFormat="1" ht="30" customHeight="1" x14ac:dyDescent="0.2">
      <c r="B3" s="48" t="s">
        <v>4</v>
      </c>
      <c r="C3" s="48"/>
      <c r="D3" s="13">
        <v>10</v>
      </c>
      <c r="E3" s="14" t="s">
        <v>1</v>
      </c>
      <c r="F3" s="15">
        <f>IF(E3="Liters",D3/117.3478,IF(E3="hL",D3*0.8522,IF(E3="BBL",(D3),IF(E3="Gallons",D3/31))))</f>
        <v>10</v>
      </c>
      <c r="G3" s="48" t="s">
        <v>7</v>
      </c>
      <c r="H3" s="48"/>
      <c r="I3" s="16">
        <v>0.25</v>
      </c>
      <c r="J3" s="21">
        <f>F5*I3*23.5</f>
        <v>15.862500000000001</v>
      </c>
      <c r="K3" s="22">
        <f>F5*I3*20</f>
        <v>13.5</v>
      </c>
    </row>
    <row r="4" spans="2:13" s="2" customFormat="1" ht="30" customHeight="1" x14ac:dyDescent="0.2">
      <c r="B4" s="49" t="s">
        <v>6</v>
      </c>
      <c r="C4" s="49"/>
      <c r="D4" s="7">
        <v>500</v>
      </c>
      <c r="E4" s="5" t="s">
        <v>5</v>
      </c>
      <c r="F4" s="10">
        <f>IF(E4="BBL/year",D4,IF(E4="hL/year",D4*0.8522))</f>
        <v>500</v>
      </c>
      <c r="G4" s="49" t="s">
        <v>9</v>
      </c>
      <c r="H4" s="49"/>
      <c r="I4" s="3">
        <v>15.9</v>
      </c>
      <c r="J4" s="6" t="s">
        <v>18</v>
      </c>
      <c r="K4" s="32">
        <f>IF(J4="mL/BBL",I4,IF(J4="mL/hL",I4*1.173))</f>
        <v>15.9</v>
      </c>
    </row>
    <row r="5" spans="2:13" s="2" customFormat="1" ht="30" customHeight="1" x14ac:dyDescent="0.2">
      <c r="B5" s="49" t="s">
        <v>0</v>
      </c>
      <c r="C5" s="49"/>
      <c r="D5" s="3">
        <v>2.7</v>
      </c>
      <c r="E5" s="6" t="s">
        <v>2</v>
      </c>
      <c r="F5" s="11">
        <f>IF(E5="lb/BBL",D5,IF(E5="kg/hL",D5*2.20462/1.173))</f>
        <v>2.7</v>
      </c>
      <c r="G5" s="49" t="s">
        <v>8</v>
      </c>
      <c r="H5" s="49"/>
      <c r="I5" s="20">
        <v>385</v>
      </c>
      <c r="K5" s="17"/>
    </row>
    <row r="6" spans="2:13" s="2" customFormat="1" ht="30" customHeight="1" x14ac:dyDescent="0.2">
      <c r="B6" s="49" t="s">
        <v>12</v>
      </c>
      <c r="C6" s="49"/>
      <c r="D6" s="3" t="s">
        <v>26</v>
      </c>
      <c r="E6" s="9">
        <v>13</v>
      </c>
      <c r="G6" s="54" t="s">
        <v>12</v>
      </c>
      <c r="H6" s="55"/>
      <c r="I6" s="23" t="str">
        <f>D6</f>
        <v>T90 Pellet</v>
      </c>
      <c r="J6" s="44">
        <f>E6</f>
        <v>13</v>
      </c>
      <c r="K6" s="18"/>
    </row>
    <row r="7" spans="2:13" s="2" customFormat="1" ht="30" customHeight="1" x14ac:dyDescent="0.2">
      <c r="B7" s="49" t="s">
        <v>11</v>
      </c>
      <c r="C7" s="49"/>
      <c r="D7" s="4">
        <v>0.18</v>
      </c>
      <c r="E7" s="57">
        <f>IF(D6="T90 Pellet",((F3*F5)*10*0.4536*0.9921/117.3)/F3+0.025,IF(D6="T45 Pellet",((F3*F5)*8*0.4536*0.9921/117.3)/F3+0.025))</f>
        <v>0.12858437442455245</v>
      </c>
      <c r="F7" s="57"/>
      <c r="G7" s="49" t="s">
        <v>16</v>
      </c>
      <c r="H7" s="49"/>
      <c r="I7" s="24">
        <f>(D7-0.0255)*(1-I3)+0.025</f>
        <v>0.140875</v>
      </c>
      <c r="J7" s="56" t="s">
        <v>17</v>
      </c>
      <c r="K7" s="56"/>
      <c r="L7" s="33"/>
      <c r="M7" s="33"/>
    </row>
    <row r="8" spans="2:13" s="2" customFormat="1" ht="30" customHeight="1" x14ac:dyDescent="0.2">
      <c r="B8" s="49" t="s">
        <v>27</v>
      </c>
      <c r="C8" s="49"/>
      <c r="D8" s="12">
        <v>6.5</v>
      </c>
      <c r="E8" s="38" t="s">
        <v>10</v>
      </c>
      <c r="F8" s="40">
        <f>IF(E8="8-ounce Glass",496*0.9*D8,IF(E8="12-ounce Glass",330.66*0.9*D8,IF(E8="16-ounce Glass",248*0.9*D8,IF(E8="0.3-liter Glass",391.32*0.9*D8,IF(E8="0.4-liter Glass",293.27*0.9*D8,IF(E8="0.5-liter Glass",234.65*0.9*D8,IF(E8="12-ounce x 24 Case",13.78*D8,IF(E8="16-ounce x 24 Case",10.33*D8,IF(E8="1/6 BBL Keg",6*D8,IF(E8="1/2 BBL Keg",2*D8,IF(E8="50 L Keg",2.35*D8)))))))))))</f>
        <v>1450.8000000000002</v>
      </c>
      <c r="G8" s="49" t="s">
        <v>27</v>
      </c>
      <c r="H8" s="49"/>
      <c r="I8" s="25">
        <f>D8</f>
        <v>6.5</v>
      </c>
      <c r="J8" s="26" t="str">
        <f>E8</f>
        <v>16-ounce Glass</v>
      </c>
      <c r="K8" s="27">
        <f>F8</f>
        <v>1450.8000000000002</v>
      </c>
    </row>
    <row r="9" spans="2:13" s="2" customFormat="1" ht="30" customHeight="1" x14ac:dyDescent="0.2"/>
    <row r="10" spans="2:13" s="2" customFormat="1" ht="30" customHeight="1" x14ac:dyDescent="0.2">
      <c r="B10" s="50" t="s">
        <v>21</v>
      </c>
      <c r="C10" s="51"/>
      <c r="D10" s="51"/>
      <c r="E10" s="51"/>
      <c r="F10" s="51"/>
      <c r="G10" s="51"/>
      <c r="H10" s="51"/>
      <c r="I10" s="52"/>
    </row>
    <row r="11" spans="2:13" s="2" customFormat="1" ht="30" customHeight="1" x14ac:dyDescent="0.2">
      <c r="B11" s="58" t="s">
        <v>13</v>
      </c>
      <c r="C11" s="58"/>
      <c r="D11" s="58"/>
      <c r="E11" s="58"/>
      <c r="F11" s="58" t="s">
        <v>14</v>
      </c>
      <c r="G11" s="58"/>
      <c r="H11" s="58"/>
      <c r="I11" s="58"/>
    </row>
    <row r="12" spans="2:13" s="2" customFormat="1" ht="30" customHeight="1" x14ac:dyDescent="0.2">
      <c r="B12" s="49" t="s">
        <v>38</v>
      </c>
      <c r="C12" s="49"/>
      <c r="D12" s="28">
        <f>F5*F3*E6</f>
        <v>351</v>
      </c>
      <c r="E12" s="29">
        <f>F4*F5*E6</f>
        <v>17550</v>
      </c>
      <c r="F12" s="49" t="s">
        <v>39</v>
      </c>
      <c r="G12" s="49"/>
      <c r="H12" s="28">
        <f>(F3*F5*(1-I3)*E6)+(K4*F3/1000*I5)</f>
        <v>324.46500000000003</v>
      </c>
      <c r="I12" s="29">
        <f>(F4*F5*(1-I3)*E6)+(K4*F4/1000*I5)</f>
        <v>16223.25</v>
      </c>
    </row>
    <row r="13" spans="2:13" s="2" customFormat="1" ht="30" customHeight="1" x14ac:dyDescent="0.2">
      <c r="B13" s="49" t="s">
        <v>19</v>
      </c>
      <c r="C13" s="49"/>
      <c r="D13" s="34">
        <f>$F$3*$D$7</f>
        <v>1.7999999999999998</v>
      </c>
      <c r="E13" s="35">
        <f>F4*D7</f>
        <v>90</v>
      </c>
      <c r="F13" s="49" t="s">
        <v>19</v>
      </c>
      <c r="G13" s="49"/>
      <c r="H13" s="34">
        <f>$F$3*$I$7</f>
        <v>1.4087499999999999</v>
      </c>
      <c r="I13" s="35">
        <f>$F$4*$I$7</f>
        <v>70.4375</v>
      </c>
    </row>
    <row r="14" spans="2:13" s="2" customFormat="1" ht="30" customHeight="1" x14ac:dyDescent="0.2">
      <c r="B14" s="49" t="s">
        <v>20</v>
      </c>
      <c r="C14" s="49"/>
      <c r="D14" s="36">
        <f>$F$3*$D$7*1.173</f>
        <v>2.1113999999999997</v>
      </c>
      <c r="E14" s="37">
        <f>F4*D7*1.173</f>
        <v>105.57000000000001</v>
      </c>
      <c r="F14" s="49" t="s">
        <v>20</v>
      </c>
      <c r="G14" s="49"/>
      <c r="H14" s="36">
        <f>$F$3*$I$7*1.173</f>
        <v>1.6524637499999999</v>
      </c>
      <c r="I14" s="37">
        <f>$F$4*$I$7*1.173</f>
        <v>82.6231875</v>
      </c>
    </row>
    <row r="15" spans="2:13" s="2" customFormat="1" ht="30" customHeight="1" x14ac:dyDescent="0.2">
      <c r="B15" s="49" t="s">
        <v>15</v>
      </c>
      <c r="C15" s="49"/>
      <c r="D15" s="30">
        <f>F3*D7*F8</f>
        <v>2611.44</v>
      </c>
      <c r="E15" s="31">
        <f>F4*D7*F8</f>
        <v>130572.00000000001</v>
      </c>
      <c r="F15" s="49" t="s">
        <v>15</v>
      </c>
      <c r="G15" s="49"/>
      <c r="H15" s="30">
        <f>F3*I7*F8</f>
        <v>2043.8145000000002</v>
      </c>
      <c r="I15" s="31">
        <f>F4*I7*F8</f>
        <v>102190.72500000001</v>
      </c>
      <c r="K15" s="46"/>
    </row>
    <row r="16" spans="2:13" s="2" customFormat="1" ht="30" customHeight="1" x14ac:dyDescent="0.2">
      <c r="I16" s="19"/>
    </row>
    <row r="17" spans="2:6" s="2" customFormat="1" ht="30" customHeight="1" x14ac:dyDescent="0.2">
      <c r="B17" s="50" t="s">
        <v>25</v>
      </c>
      <c r="C17" s="51"/>
      <c r="D17" s="51"/>
      <c r="E17" s="51"/>
      <c r="F17" s="52"/>
    </row>
    <row r="18" spans="2:6" s="2" customFormat="1" ht="30" customHeight="1" x14ac:dyDescent="0.2">
      <c r="B18" s="48" t="s">
        <v>22</v>
      </c>
      <c r="C18" s="48"/>
      <c r="D18" s="42">
        <f>E13-I13</f>
        <v>19.5625</v>
      </c>
      <c r="E18" s="45">
        <f>E14-I14</f>
        <v>22.946812500000007</v>
      </c>
      <c r="F18" s="39">
        <f>(E13-I13)/E13</f>
        <v>0.21736111111111112</v>
      </c>
    </row>
    <row r="19" spans="2:6" s="2" customFormat="1" ht="30" customHeight="1" x14ac:dyDescent="0.2">
      <c r="B19" s="48" t="s">
        <v>23</v>
      </c>
      <c r="C19" s="48"/>
      <c r="D19" s="43">
        <f>F4*F5*(1-I3)</f>
        <v>1012.5</v>
      </c>
      <c r="E19" s="41">
        <f>D19/2.20462</f>
        <v>459.26282080358521</v>
      </c>
      <c r="F19" s="39">
        <f>I3</f>
        <v>0.25</v>
      </c>
    </row>
    <row r="20" spans="2:6" s="2" customFormat="1" ht="30" customHeight="1" x14ac:dyDescent="0.2">
      <c r="B20" s="48" t="s">
        <v>24</v>
      </c>
      <c r="C20" s="48"/>
      <c r="D20" s="53">
        <f>E12-I12</f>
        <v>1326.75</v>
      </c>
      <c r="E20" s="53"/>
      <c r="F20" s="39">
        <f>(E12-I12)/E12</f>
        <v>7.5598290598290596E-2</v>
      </c>
    </row>
    <row r="21" spans="2:6" s="2" customFormat="1" ht="30" customHeight="1" x14ac:dyDescent="0.2">
      <c r="B21" s="48" t="s">
        <v>40</v>
      </c>
      <c r="C21" s="48"/>
      <c r="D21" s="53">
        <f>E15-I15</f>
        <v>28381.275000000009</v>
      </c>
      <c r="E21" s="53"/>
      <c r="F21" s="39">
        <f>(E15-I15)/E15</f>
        <v>0.21736111111111114</v>
      </c>
    </row>
    <row r="22" spans="2:6" s="2" customFormat="1" ht="30" customHeight="1" x14ac:dyDescent="0.2">
      <c r="B22" s="48" t="s">
        <v>41</v>
      </c>
      <c r="C22" s="48"/>
      <c r="D22" s="53">
        <f>(E12-I12)+(E15-I15)</f>
        <v>29708.025000000009</v>
      </c>
      <c r="E22" s="53"/>
      <c r="F22" s="39">
        <f>((E12+E15)-(I12+I15))/(E12+E15)</f>
        <v>0.20056456839632192</v>
      </c>
    </row>
    <row r="23" spans="2:6" s="2" customFormat="1" ht="30" customHeight="1" x14ac:dyDescent="0.2"/>
    <row r="24" spans="2:6" s="2" customFormat="1" ht="30" customHeight="1" x14ac:dyDescent="0.2"/>
    <row r="25" spans="2:6" s="2" customFormat="1" ht="30" hidden="1" customHeight="1" x14ac:dyDescent="0.2">
      <c r="B25" s="8" t="s">
        <v>28</v>
      </c>
      <c r="C25" s="8"/>
    </row>
    <row r="26" spans="2:6" s="2" customFormat="1" ht="30" hidden="1" customHeight="1" x14ac:dyDescent="0.2">
      <c r="B26" s="8" t="s">
        <v>29</v>
      </c>
    </row>
    <row r="27" spans="2:6" s="2" customFormat="1" ht="30" hidden="1" customHeight="1" x14ac:dyDescent="0.2">
      <c r="B27" s="8" t="s">
        <v>10</v>
      </c>
    </row>
    <row r="28" spans="2:6" s="2" customFormat="1" ht="30" hidden="1" customHeight="1" x14ac:dyDescent="0.2">
      <c r="B28" s="8" t="s">
        <v>30</v>
      </c>
    </row>
    <row r="29" spans="2:6" s="2" customFormat="1" ht="30" hidden="1" customHeight="1" x14ac:dyDescent="0.2">
      <c r="B29" s="8" t="s">
        <v>31</v>
      </c>
    </row>
    <row r="30" spans="2:6" s="2" customFormat="1" ht="30" hidden="1" customHeight="1" x14ac:dyDescent="0.2">
      <c r="B30" s="8" t="s">
        <v>32</v>
      </c>
    </row>
    <row r="31" spans="2:6" s="2" customFormat="1" ht="30" hidden="1" customHeight="1" x14ac:dyDescent="0.2">
      <c r="B31" s="8" t="s">
        <v>36</v>
      </c>
      <c r="C31" s="2">
        <f>31*128/12/24</f>
        <v>13.777777777777779</v>
      </c>
    </row>
    <row r="32" spans="2:6" s="2" customFormat="1" ht="30" hidden="1" customHeight="1" x14ac:dyDescent="0.2">
      <c r="B32" s="8" t="s">
        <v>37</v>
      </c>
      <c r="C32" s="2">
        <f>31*128/16/24</f>
        <v>10.333333333333334</v>
      </c>
    </row>
    <row r="33" spans="2:2" s="2" customFormat="1" ht="30" hidden="1" customHeight="1" x14ac:dyDescent="0.2">
      <c r="B33" s="8" t="s">
        <v>33</v>
      </c>
    </row>
    <row r="34" spans="2:2" s="2" customFormat="1" ht="30" hidden="1" customHeight="1" x14ac:dyDescent="0.2">
      <c r="B34" s="8" t="s">
        <v>34</v>
      </c>
    </row>
    <row r="35" spans="2:2" s="2" customFormat="1" ht="30" hidden="1" customHeight="1" x14ac:dyDescent="0.2">
      <c r="B35" s="8" t="s">
        <v>35</v>
      </c>
    </row>
    <row r="36" spans="2:2" s="2" customFormat="1" ht="30" customHeight="1" x14ac:dyDescent="0.2"/>
    <row r="37" spans="2:2" s="2" customFormat="1" ht="30" customHeight="1" x14ac:dyDescent="0.2"/>
    <row r="38" spans="2:2" s="2" customFormat="1" ht="30" customHeight="1" x14ac:dyDescent="0.2"/>
    <row r="39" spans="2:2" s="2" customFormat="1" ht="30" customHeight="1" x14ac:dyDescent="0.2"/>
    <row r="40" spans="2:2" s="2" customFormat="1" ht="30" customHeight="1" x14ac:dyDescent="0.2"/>
    <row r="41" spans="2:2" s="2" customFormat="1" ht="30" customHeight="1" x14ac:dyDescent="0.2"/>
    <row r="42" spans="2:2" s="2" customFormat="1" ht="30" customHeight="1" x14ac:dyDescent="0.2"/>
    <row r="43" spans="2:2" s="2" customFormat="1" ht="30" customHeight="1" x14ac:dyDescent="0.2"/>
    <row r="44" spans="2:2" s="2" customFormat="1" ht="30" customHeight="1" x14ac:dyDescent="0.2"/>
    <row r="45" spans="2:2" s="2" customFormat="1" ht="30" customHeight="1" x14ac:dyDescent="0.2"/>
    <row r="46" spans="2:2" s="2" customFormat="1" ht="30" customHeight="1" x14ac:dyDescent="0.2"/>
    <row r="47" spans="2:2" s="2" customFormat="1" ht="30" customHeight="1" x14ac:dyDescent="0.2"/>
    <row r="48" spans="2:2" s="2" customFormat="1" ht="30" customHeight="1" x14ac:dyDescent="0.2"/>
    <row r="49" s="2" customFormat="1" ht="30" customHeight="1" x14ac:dyDescent="0.2"/>
    <row r="50" s="2" customFormat="1" ht="30" customHeight="1" x14ac:dyDescent="0.2"/>
    <row r="51" s="2" customFormat="1" ht="30" customHeight="1" x14ac:dyDescent="0.2"/>
    <row r="52" s="2" customFormat="1" ht="30" customHeight="1" x14ac:dyDescent="0.2"/>
    <row r="53" s="2" customFormat="1" ht="30" customHeight="1" x14ac:dyDescent="0.2"/>
    <row r="54" s="2" customFormat="1" ht="30" customHeight="1" x14ac:dyDescent="0.2"/>
    <row r="55" s="2" customFormat="1" ht="30" customHeight="1" x14ac:dyDescent="0.2"/>
    <row r="56" s="2" customFormat="1" ht="30" customHeight="1" x14ac:dyDescent="0.2"/>
    <row r="57" s="2" customFormat="1" ht="30" customHeight="1" x14ac:dyDescent="0.2"/>
    <row r="58" s="2" customFormat="1" ht="30" customHeight="1" x14ac:dyDescent="0.2"/>
    <row r="59" s="2" customFormat="1" ht="30" customHeight="1" x14ac:dyDescent="0.2"/>
    <row r="60" s="2" customFormat="1" ht="30" customHeight="1" x14ac:dyDescent="0.2"/>
    <row r="61" s="2" customFormat="1" ht="30" customHeight="1" x14ac:dyDescent="0.2"/>
    <row r="62" s="2" customFormat="1" ht="30" customHeight="1" x14ac:dyDescent="0.2"/>
    <row r="63" s="2" customFormat="1" ht="30" customHeight="1" x14ac:dyDescent="0.2"/>
    <row r="64" s="2" customFormat="1" ht="30" customHeight="1" x14ac:dyDescent="0.2"/>
    <row r="65" s="2" customFormat="1" ht="30" customHeight="1" x14ac:dyDescent="0.2"/>
    <row r="66" s="2" customFormat="1" ht="30" customHeight="1" x14ac:dyDescent="0.2"/>
    <row r="67" s="2" customFormat="1" ht="30" customHeight="1" x14ac:dyDescent="0.2"/>
    <row r="68" s="2" customFormat="1" ht="30" customHeight="1" x14ac:dyDescent="0.2"/>
    <row r="69" s="2" customFormat="1" ht="30" customHeight="1" x14ac:dyDescent="0.2"/>
    <row r="70" s="2" customFormat="1" ht="30" customHeight="1" x14ac:dyDescent="0.2"/>
    <row r="71" s="2" customFormat="1" ht="30" customHeight="1" x14ac:dyDescent="0.2"/>
    <row r="72" s="2" customFormat="1" ht="30" customHeight="1" x14ac:dyDescent="0.2"/>
    <row r="73" s="2" customFormat="1" ht="30" customHeight="1" x14ac:dyDescent="0.2"/>
    <row r="74" s="2" customFormat="1" ht="30" customHeight="1" x14ac:dyDescent="0.2"/>
    <row r="75" s="2" customFormat="1" ht="30" customHeight="1" x14ac:dyDescent="0.2"/>
    <row r="76" s="2" customFormat="1" ht="30" customHeight="1" x14ac:dyDescent="0.2"/>
    <row r="77" s="2" customFormat="1" ht="30" customHeight="1" x14ac:dyDescent="0.2"/>
    <row r="78" s="2" customFormat="1" ht="30" customHeight="1" x14ac:dyDescent="0.2"/>
    <row r="79" s="2" customFormat="1" ht="30" customHeight="1" x14ac:dyDescent="0.2"/>
    <row r="80" s="2" customFormat="1" ht="30" customHeight="1" x14ac:dyDescent="0.2"/>
    <row r="81" s="2" customFormat="1" ht="30" customHeight="1" x14ac:dyDescent="0.2"/>
    <row r="82" s="2" customFormat="1" ht="30" customHeight="1" x14ac:dyDescent="0.2"/>
    <row r="83" s="2" customFormat="1" ht="30" customHeight="1" x14ac:dyDescent="0.2"/>
    <row r="84" s="2" customFormat="1" ht="30" customHeight="1" x14ac:dyDescent="0.2"/>
    <row r="85" s="2" customFormat="1" ht="30" customHeight="1" x14ac:dyDescent="0.2"/>
    <row r="86" s="2" customFormat="1" ht="30" customHeight="1" x14ac:dyDescent="0.2"/>
    <row r="87" s="2" customFormat="1" ht="30" customHeight="1" x14ac:dyDescent="0.2"/>
    <row r="88" s="2" customFormat="1" ht="30" customHeight="1" x14ac:dyDescent="0.2"/>
    <row r="89" s="2" customFormat="1" ht="30" customHeight="1" x14ac:dyDescent="0.2"/>
    <row r="90" s="2" customFormat="1" ht="30" customHeight="1" x14ac:dyDescent="0.2"/>
    <row r="91" s="2" customFormat="1" ht="30" customHeight="1" x14ac:dyDescent="0.2"/>
    <row r="92" s="2" customFormat="1" ht="30" customHeight="1" x14ac:dyDescent="0.2"/>
    <row r="93" s="2" customFormat="1" ht="30" customHeight="1" x14ac:dyDescent="0.2"/>
    <row r="94" s="2" customFormat="1" ht="30" customHeight="1" x14ac:dyDescent="0.2"/>
    <row r="95" s="2" customFormat="1" ht="30" customHeight="1" x14ac:dyDescent="0.2"/>
    <row r="96" s="2" customFormat="1" ht="30" customHeight="1" x14ac:dyDescent="0.2"/>
    <row r="97" s="2" customFormat="1" ht="30" customHeight="1" x14ac:dyDescent="0.2"/>
    <row r="98" s="2" customFormat="1" ht="30" customHeight="1" x14ac:dyDescent="0.2"/>
    <row r="99" s="2" customFormat="1" ht="30" customHeight="1" x14ac:dyDescent="0.2"/>
    <row r="100" s="2" customFormat="1" ht="30" customHeight="1" x14ac:dyDescent="0.2"/>
    <row r="101" s="2" customFormat="1" ht="30" customHeight="1" x14ac:dyDescent="0.2"/>
    <row r="102" s="2" customFormat="1" ht="30" customHeight="1" x14ac:dyDescent="0.2"/>
    <row r="103" s="2" customFormat="1" ht="30" customHeight="1" x14ac:dyDescent="0.2"/>
    <row r="104" s="2" customFormat="1" ht="30" customHeight="1" x14ac:dyDescent="0.2"/>
    <row r="105" s="2" customFormat="1" ht="30" customHeight="1" x14ac:dyDescent="0.2"/>
    <row r="106" s="2" customFormat="1" ht="30" customHeight="1" x14ac:dyDescent="0.2"/>
    <row r="107" s="2" customFormat="1" ht="30" customHeight="1" x14ac:dyDescent="0.2"/>
    <row r="108" s="2" customFormat="1" ht="30" customHeight="1" x14ac:dyDescent="0.2"/>
    <row r="109" s="2" customFormat="1" ht="30" customHeight="1" x14ac:dyDescent="0.2"/>
    <row r="110" s="2" customFormat="1" ht="30" customHeight="1" x14ac:dyDescent="0.2"/>
    <row r="111" s="2" customFormat="1" ht="30" customHeight="1" x14ac:dyDescent="0.2"/>
    <row r="112" s="2" customFormat="1" ht="30" customHeight="1" x14ac:dyDescent="0.2"/>
    <row r="113" s="2" customFormat="1" ht="30" customHeight="1" x14ac:dyDescent="0.2"/>
    <row r="114" s="2" customFormat="1" ht="30" customHeight="1" x14ac:dyDescent="0.2"/>
    <row r="115" s="2" customFormat="1" ht="30" customHeight="1" x14ac:dyDescent="0.2"/>
    <row r="116" s="2" customFormat="1" ht="30" customHeight="1" x14ac:dyDescent="0.2"/>
    <row r="117" s="2" customFormat="1" ht="30" customHeight="1" x14ac:dyDescent="0.2"/>
    <row r="118" s="2" customFormat="1" ht="30" customHeight="1" x14ac:dyDescent="0.2"/>
    <row r="119" s="2" customFormat="1" ht="30" customHeight="1" x14ac:dyDescent="0.2"/>
    <row r="120" s="2" customFormat="1" ht="30" customHeight="1" x14ac:dyDescent="0.2"/>
    <row r="121" s="2" customFormat="1" ht="30" customHeight="1" x14ac:dyDescent="0.2"/>
    <row r="122" s="2" customFormat="1" ht="30" customHeight="1" x14ac:dyDescent="0.2"/>
    <row r="123" s="2" customFormat="1" ht="30" customHeight="1" x14ac:dyDescent="0.2"/>
    <row r="124" s="2" customFormat="1" ht="30" customHeight="1" x14ac:dyDescent="0.2"/>
    <row r="125" s="2" customFormat="1" ht="30" customHeight="1" x14ac:dyDescent="0.2"/>
    <row r="126" s="2" customFormat="1" ht="30" customHeight="1" x14ac:dyDescent="0.2"/>
    <row r="127" s="2" customFormat="1" ht="30" customHeight="1" x14ac:dyDescent="0.2"/>
    <row r="128" s="2" customFormat="1" ht="30" customHeight="1" x14ac:dyDescent="0.2"/>
    <row r="129" s="2" customFormat="1" ht="30" customHeight="1" x14ac:dyDescent="0.2"/>
    <row r="130" s="2" customFormat="1" ht="30" customHeight="1" x14ac:dyDescent="0.2"/>
    <row r="131" s="2" customFormat="1" ht="30" customHeight="1" x14ac:dyDescent="0.2"/>
    <row r="132" s="2" customFormat="1" ht="30" customHeight="1" x14ac:dyDescent="0.2"/>
    <row r="133" s="2" customFormat="1" ht="30" customHeight="1" x14ac:dyDescent="0.2"/>
    <row r="134" s="2" customFormat="1" ht="30" customHeight="1" x14ac:dyDescent="0.2"/>
    <row r="135" s="2" customFormat="1" ht="30" customHeight="1" x14ac:dyDescent="0.2"/>
    <row r="136" s="2" customFormat="1" ht="30" customHeight="1" x14ac:dyDescent="0.2"/>
    <row r="137" s="2" customFormat="1" ht="30" customHeight="1" x14ac:dyDescent="0.2"/>
    <row r="138" s="2" customFormat="1" ht="30" customHeight="1" x14ac:dyDescent="0.2"/>
    <row r="139" s="2" customFormat="1" ht="30" customHeight="1" x14ac:dyDescent="0.2"/>
    <row r="140" s="2" customFormat="1" ht="30" customHeight="1" x14ac:dyDescent="0.2"/>
    <row r="141" s="2" customFormat="1" ht="30" customHeight="1" x14ac:dyDescent="0.2"/>
    <row r="142" s="2" customFormat="1" ht="30" customHeight="1" x14ac:dyDescent="0.2"/>
    <row r="143" s="2" customFormat="1" ht="30" customHeight="1" x14ac:dyDescent="0.2"/>
    <row r="144" s="2" customFormat="1" ht="30" customHeight="1" x14ac:dyDescent="0.2"/>
    <row r="145" s="2" customFormat="1" ht="30" customHeight="1" x14ac:dyDescent="0.2"/>
    <row r="146" s="2" customFormat="1" ht="30" customHeight="1" x14ac:dyDescent="0.2"/>
    <row r="147" s="2" customFormat="1" ht="30" customHeight="1" x14ac:dyDescent="0.2"/>
    <row r="148" s="2" customFormat="1" ht="30" customHeight="1" x14ac:dyDescent="0.2"/>
    <row r="149" s="2" customFormat="1" ht="30" customHeight="1" x14ac:dyDescent="0.2"/>
    <row r="150" s="2" customFormat="1" ht="30" customHeight="1" x14ac:dyDescent="0.2"/>
    <row r="151" s="2" customFormat="1" ht="30" customHeight="1" x14ac:dyDescent="0.2"/>
    <row r="152" s="2" customFormat="1" ht="30" customHeight="1" x14ac:dyDescent="0.2"/>
    <row r="153" s="2" customFormat="1" ht="30" customHeight="1" x14ac:dyDescent="0.2"/>
    <row r="154" s="2" customFormat="1" ht="30" customHeight="1" x14ac:dyDescent="0.2"/>
    <row r="155" s="2" customFormat="1" ht="30" customHeight="1" x14ac:dyDescent="0.2"/>
    <row r="156" s="2" customFormat="1" ht="30" customHeight="1" x14ac:dyDescent="0.2"/>
    <row r="157" s="2" customFormat="1" ht="30" customHeight="1" x14ac:dyDescent="0.2"/>
    <row r="158" s="2" customFormat="1" ht="30" customHeight="1" x14ac:dyDescent="0.2"/>
    <row r="159" s="2" customFormat="1" ht="30" customHeight="1" x14ac:dyDescent="0.2"/>
    <row r="160" s="2" customFormat="1" ht="30" customHeight="1" x14ac:dyDescent="0.2"/>
    <row r="161" s="2" customFormat="1" ht="30" customHeight="1" x14ac:dyDescent="0.2"/>
    <row r="162" s="2" customFormat="1" ht="30" customHeight="1" x14ac:dyDescent="0.2"/>
    <row r="163" s="2" customFormat="1" ht="30" customHeight="1" x14ac:dyDescent="0.2"/>
    <row r="164" s="2" customFormat="1" ht="30" customHeight="1" x14ac:dyDescent="0.2"/>
    <row r="165" s="2" customFormat="1" ht="30" customHeight="1" x14ac:dyDescent="0.2"/>
    <row r="166" s="2" customFormat="1" ht="30" customHeight="1" x14ac:dyDescent="0.2"/>
    <row r="167" s="2" customFormat="1" ht="30" customHeight="1" x14ac:dyDescent="0.2"/>
    <row r="168" s="2" customFormat="1" ht="30" customHeight="1" x14ac:dyDescent="0.2"/>
    <row r="169" s="2" customFormat="1" ht="30" customHeight="1" x14ac:dyDescent="0.2"/>
    <row r="170" s="2" customFormat="1" ht="30" customHeight="1" x14ac:dyDescent="0.2"/>
    <row r="171" s="2" customFormat="1" ht="30" customHeight="1" x14ac:dyDescent="0.2"/>
    <row r="172" s="2" customFormat="1" ht="30" customHeight="1" x14ac:dyDescent="0.2"/>
    <row r="173" s="2" customFormat="1" ht="30" customHeight="1" x14ac:dyDescent="0.2"/>
    <row r="174" s="2" customFormat="1" ht="30" customHeight="1" x14ac:dyDescent="0.2"/>
    <row r="175" s="2" customFormat="1" ht="30" customHeight="1" x14ac:dyDescent="0.2"/>
    <row r="176" s="2" customFormat="1" ht="30" customHeight="1" x14ac:dyDescent="0.2"/>
    <row r="177" s="2" customFormat="1" ht="30" customHeight="1" x14ac:dyDescent="0.2"/>
    <row r="178" s="2" customFormat="1" ht="30" customHeight="1" x14ac:dyDescent="0.2"/>
    <row r="179" s="2" customFormat="1" ht="30" customHeight="1" x14ac:dyDescent="0.2"/>
    <row r="180" s="2" customFormat="1" ht="30" customHeight="1" x14ac:dyDescent="0.2"/>
    <row r="181" s="2" customFormat="1" ht="30" customHeight="1" x14ac:dyDescent="0.2"/>
    <row r="182" s="2" customFormat="1" ht="30" customHeight="1" x14ac:dyDescent="0.2"/>
    <row r="183" s="2" customFormat="1" ht="30" customHeight="1" x14ac:dyDescent="0.2"/>
    <row r="184" s="2" customFormat="1" ht="30" customHeight="1" x14ac:dyDescent="0.2"/>
    <row r="185" s="2" customFormat="1" ht="30" customHeight="1" x14ac:dyDescent="0.2"/>
    <row r="186" s="2" customFormat="1" ht="30" customHeight="1" x14ac:dyDescent="0.2"/>
    <row r="187" s="2" customFormat="1" ht="30" customHeight="1" x14ac:dyDescent="0.2"/>
    <row r="188" s="2" customFormat="1" ht="30" customHeight="1" x14ac:dyDescent="0.2"/>
    <row r="189" s="2" customFormat="1" ht="30" customHeight="1" x14ac:dyDescent="0.2"/>
    <row r="190" s="2" customFormat="1" ht="30" customHeight="1" x14ac:dyDescent="0.2"/>
    <row r="191" s="2" customFormat="1" ht="30" customHeight="1" x14ac:dyDescent="0.2"/>
    <row r="192" s="2" customFormat="1" ht="30" customHeight="1" x14ac:dyDescent="0.2"/>
    <row r="193" s="2" customFormat="1" ht="30" customHeight="1" x14ac:dyDescent="0.2"/>
    <row r="194" s="2" customFormat="1" ht="30" customHeight="1" x14ac:dyDescent="0.2"/>
    <row r="195" s="2" customFormat="1" ht="30" customHeight="1" x14ac:dyDescent="0.2"/>
    <row r="196" s="2" customFormat="1" ht="30" customHeight="1" x14ac:dyDescent="0.2"/>
    <row r="197" s="2" customFormat="1" ht="30" customHeight="1" x14ac:dyDescent="0.2"/>
    <row r="198" s="2" customFormat="1" ht="30" customHeight="1" x14ac:dyDescent="0.2"/>
    <row r="199" s="2" customFormat="1" ht="30" customHeight="1" x14ac:dyDescent="0.2"/>
    <row r="200" s="2" customFormat="1" ht="30" customHeight="1" x14ac:dyDescent="0.2"/>
    <row r="201" s="2" customFormat="1" ht="30" customHeight="1" x14ac:dyDescent="0.2"/>
    <row r="202" s="2" customFormat="1" ht="30" customHeight="1" x14ac:dyDescent="0.2"/>
    <row r="203" s="2" customFormat="1" ht="30" customHeight="1" x14ac:dyDescent="0.2"/>
    <row r="204" s="2" customFormat="1" ht="30" customHeight="1" x14ac:dyDescent="0.2"/>
    <row r="205" s="2" customFormat="1" ht="30" customHeight="1" x14ac:dyDescent="0.2"/>
    <row r="206" s="2" customFormat="1" ht="30" customHeight="1" x14ac:dyDescent="0.2"/>
    <row r="207" s="2" customFormat="1" ht="30" customHeight="1" x14ac:dyDescent="0.2"/>
    <row r="208" s="2" customFormat="1" ht="30" customHeight="1" x14ac:dyDescent="0.2"/>
    <row r="209" s="2" customFormat="1" ht="30" customHeight="1" x14ac:dyDescent="0.2"/>
    <row r="210" s="2" customFormat="1" ht="30" customHeight="1" x14ac:dyDescent="0.2"/>
    <row r="211" s="2" customFormat="1" ht="30" customHeight="1" x14ac:dyDescent="0.2"/>
    <row r="212" s="2" customFormat="1" ht="30" customHeight="1" x14ac:dyDescent="0.2"/>
    <row r="213" s="2" customFormat="1" ht="30" customHeight="1" x14ac:dyDescent="0.2"/>
    <row r="214" s="2" customFormat="1" ht="30" customHeight="1" x14ac:dyDescent="0.2"/>
    <row r="215" s="2" customFormat="1" ht="30" customHeight="1" x14ac:dyDescent="0.2"/>
    <row r="216" s="2" customFormat="1" ht="30" customHeight="1" x14ac:dyDescent="0.2"/>
    <row r="217" s="2" customFormat="1" ht="30" customHeight="1" x14ac:dyDescent="0.2"/>
    <row r="218" s="2" customFormat="1" ht="30" customHeight="1" x14ac:dyDescent="0.2"/>
    <row r="219" s="2" customFormat="1" ht="30" customHeight="1" x14ac:dyDescent="0.2"/>
    <row r="220" s="2" customFormat="1" ht="30" customHeight="1" x14ac:dyDescent="0.2"/>
    <row r="221" s="2" customFormat="1" ht="30" customHeight="1" x14ac:dyDescent="0.2"/>
    <row r="222" s="2" customFormat="1" ht="30" customHeight="1" x14ac:dyDescent="0.2"/>
    <row r="223" s="2" customFormat="1" ht="30" customHeight="1" x14ac:dyDescent="0.2"/>
    <row r="224" s="2" customFormat="1" ht="30" customHeight="1" x14ac:dyDescent="0.2"/>
  </sheetData>
  <sheetProtection algorithmName="SHA-512" hashValue="VhTsiCEy3GvLUQhwrXiNnKpMjIgvkMpMZn265sJiloSFlXmUUvZaHsGoGV8cBJdPEcxuvcyuyNU8y2Les3JQuA==" saltValue="Z4hV9A1Gg855xcvqFrHpXQ==" spinCount="100000" sheet="1" objects="1" scenarios="1" selectLockedCells="1"/>
  <mergeCells count="35">
    <mergeCell ref="B20:C20"/>
    <mergeCell ref="D20:E20"/>
    <mergeCell ref="J7:K7"/>
    <mergeCell ref="E7:F7"/>
    <mergeCell ref="F12:G12"/>
    <mergeCell ref="B11:E11"/>
    <mergeCell ref="F11:I11"/>
    <mergeCell ref="B10:I10"/>
    <mergeCell ref="B12:C12"/>
    <mergeCell ref="B7:C7"/>
    <mergeCell ref="B8:C8"/>
    <mergeCell ref="G7:H7"/>
    <mergeCell ref="G8:H8"/>
    <mergeCell ref="B13:C13"/>
    <mergeCell ref="F13:G13"/>
    <mergeCell ref="G6:H6"/>
    <mergeCell ref="B6:C6"/>
    <mergeCell ref="B19:C19"/>
    <mergeCell ref="F14:G14"/>
    <mergeCell ref="F15:G15"/>
    <mergeCell ref="B14:C14"/>
    <mergeCell ref="B15:C15"/>
    <mergeCell ref="B18:C18"/>
    <mergeCell ref="B17:F17"/>
    <mergeCell ref="D22:E22"/>
    <mergeCell ref="B21:C21"/>
    <mergeCell ref="B22:C22"/>
    <mergeCell ref="D21:E21"/>
    <mergeCell ref="B2:K2"/>
    <mergeCell ref="B3:C3"/>
    <mergeCell ref="B4:C4"/>
    <mergeCell ref="G3:H3"/>
    <mergeCell ref="G5:H5"/>
    <mergeCell ref="G4:H4"/>
    <mergeCell ref="B5:C5"/>
  </mergeCells>
  <dataValidations count="6">
    <dataValidation type="list" allowBlank="1" showInputMessage="1" showErrorMessage="1" sqref="E3" xr:uid="{67D46D1D-7906-F546-AB27-DE2527E92BC0}">
      <formula1>"BBL, Gallons, hL, Liters"</formula1>
    </dataValidation>
    <dataValidation type="list" allowBlank="1" showInputMessage="1" showErrorMessage="1" sqref="E4" xr:uid="{B40097A3-2DA7-B341-B624-8FE61004B745}">
      <formula1>"BBL/year, hL/year"</formula1>
    </dataValidation>
    <dataValidation type="list" allowBlank="1" showInputMessage="1" showErrorMessage="1" sqref="E5" xr:uid="{90954FFA-3BB6-1A48-A26C-936353EC42C8}">
      <formula1>"lb/BBL, kg/hL"</formula1>
    </dataValidation>
    <dataValidation type="list" allowBlank="1" showInputMessage="1" showErrorMessage="1" sqref="E8" xr:uid="{35BB64BB-5CCC-8C4E-9AD0-81CF43987C8F}">
      <formula1>$B$25:$B$35</formula1>
    </dataValidation>
    <dataValidation type="list" allowBlank="1" showInputMessage="1" showErrorMessage="1" sqref="J4" xr:uid="{22AA95FE-DAA0-D147-9617-512A724A2DF3}">
      <formula1>"mL/BBL, mL/hL"</formula1>
    </dataValidation>
    <dataValidation type="list" allowBlank="1" showInputMessage="1" showErrorMessage="1" sqref="D6" xr:uid="{60AF0789-DEAC-6644-A0FE-86F3E0DCE35B}">
      <formula1>"T90 Pellet, T45 Pellet"</formula1>
    </dataValidation>
  </dataValidations>
  <pageMargins left="0.7" right="0.7" top="0.75" bottom="0.75" header="0.3" footer="0.3"/>
  <drawing r:id="rId1"/>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TNS Dry Hop Savings</vt:lpstr>
    </vt:vector>
  </TitlesOfParts>
  <Manager/>
  <Company>Dell Computer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ASHTON LEWIS</dc:creator>
  <cp:keywords/>
  <dc:description/>
  <cp:lastModifiedBy>Ashton Lewis</cp:lastModifiedBy>
  <cp:lastPrinted>2012-11-02T00:07:17Z</cp:lastPrinted>
  <dcterms:created xsi:type="dcterms:W3CDTF">2007-04-09T20:20:43Z</dcterms:created>
  <dcterms:modified xsi:type="dcterms:W3CDTF">2023-03-08T15:00:04Z</dcterms:modified>
  <cp:category/>
</cp:coreProperties>
</file>